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Patient Log" sheetId="1" state="visible" r:id="rId3"/>
    <sheet name="Dashboard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<sst xmlns="http://schemas.openxmlformats.org/spreadsheetml/2006/main" count="82" uniqueCount="57">
  <si>
    <t xml:space="preserve">PRECISION DENTAL ANALYTICS</t>
  </si>
  <si>
    <t xml:space="preserve">New Patient Analysis</t>
  </si>
  <si>
    <t xml:space="preserve">Track every new patient from first contact through treatment completion.</t>
  </si>
  <si>
    <t xml:space="preserve">Date First Seen</t>
  </si>
  <si>
    <t xml:space="preserve">Patient ID</t>
  </si>
  <si>
    <t xml:space="preserve">Age</t>
  </si>
  <si>
    <t xml:space="preserve">Gender</t>
  </si>
  <si>
    <t xml:space="preserve">Referral Source</t>
  </si>
  <si>
    <t xml:space="preserve">Insurance Type</t>
  </si>
  <si>
    <t xml:space="preserve">Primary Provider</t>
  </si>
  <si>
    <t xml:space="preserve">Unscheduled Treatment ($)</t>
  </si>
  <si>
    <t xml:space="preserve">Treatment Completed ($)</t>
  </si>
  <si>
    <t xml:space="preserve">Next Hygiene Appt</t>
  </si>
  <si>
    <t xml:space="preserve">Next Restorative Appt</t>
  </si>
  <si>
    <t xml:space="preserve">Status</t>
  </si>
  <si>
    <t xml:space="preserve">P001</t>
  </si>
  <si>
    <t xml:space="preserve">M</t>
  </si>
  <si>
    <t xml:space="preserve">Google</t>
  </si>
  <si>
    <t xml:space="preserve">PPO</t>
  </si>
  <si>
    <t xml:space="preserve">Dr. Smith</t>
  </si>
  <si>
    <t xml:space="preserve">Active</t>
  </si>
  <si>
    <t xml:space="preserve">P002</t>
  </si>
  <si>
    <t xml:space="preserve">F</t>
  </si>
  <si>
    <t xml:space="preserve">Patient Referral</t>
  </si>
  <si>
    <t xml:space="preserve">FFS</t>
  </si>
  <si>
    <t xml:space="preserve">Dr. Johnson</t>
  </si>
  <si>
    <t xml:space="preserve">Unscheduled</t>
  </si>
  <si>
    <t xml:space="preserve">P003</t>
  </si>
  <si>
    <t xml:space="preserve">Insurance</t>
  </si>
  <si>
    <t xml:space="preserve">Membership Plan</t>
  </si>
  <si>
    <t xml:space="preserve">Dr. Martinez</t>
  </si>
  <si>
    <t xml:space="preserve">Completed</t>
  </si>
  <si>
    <t xml:space="preserve">P004</t>
  </si>
  <si>
    <t xml:space="preserve">Walk-In</t>
  </si>
  <si>
    <t xml:space="preserve">P005</t>
  </si>
  <si>
    <t xml:space="preserve">Yelp</t>
  </si>
  <si>
    <t xml:space="preserve">P006</t>
  </si>
  <si>
    <t xml:space="preserve">Online</t>
  </si>
  <si>
    <t xml:space="preserve">KEY METRICS</t>
  </si>
  <si>
    <t xml:space="preserve">Total New Patients</t>
  </si>
  <si>
    <t xml:space="preserve">Avg Case Value</t>
  </si>
  <si>
    <t xml:space="preserve">Overall Case Acceptance %</t>
  </si>
  <si>
    <t xml:space="preserve">Overall Retention Rate</t>
  </si>
  <si>
    <t xml:space="preserve">REFERRAL SOURCE ANALYSIS</t>
  </si>
  <si>
    <t xml:space="preserve">Source</t>
  </si>
  <si>
    <t xml:space="preserve"># Patients</t>
  </si>
  <si>
    <t xml:space="preserve">$ Proposed</t>
  </si>
  <si>
    <t xml:space="preserve">$ Completed</t>
  </si>
  <si>
    <t xml:space="preserve">Case Acceptance %</t>
  </si>
  <si>
    <t xml:space="preserve">Hygiene Scheduled</t>
  </si>
  <si>
    <t xml:space="preserve">Retention Rate</t>
  </si>
  <si>
    <t xml:space="preserve">Other</t>
  </si>
  <si>
    <t xml:space="preserve">TOTAL</t>
  </si>
  <si>
    <t xml:space="preserve">INSURANCE MIX</t>
  </si>
  <si>
    <t xml:space="preserve">None</t>
  </si>
  <si>
    <t xml:space="preserve">TARGET: 20+ new patients/month with 90%+ new patient conversion rate</t>
  </si>
  <si>
    <t xml:space="preserve">© Precision Dental Analytics | precisiondentalanalytics.com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</si>
</sst>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yy"/>
    <numFmt numFmtId="166" formatCode="\$#,##0.00"/>
    <numFmt numFmtId="167" formatCode="0.0%"/>
    <numFmt numFmtId="168" formatCode="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C9A84C"/>
      <name val="Arial"/>
      <family val="0"/>
      <charset val="1"/>
    </font>
    <font>
      <b val="true"/>
      <sz val="16"/>
      <color rgb="FF0F1729"/>
      <name val="Arial"/>
      <family val="0"/>
      <charset val="1"/>
    </font>
    <font>
      <sz val="10"/>
      <color rgb="FF64748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0F1729"/>
      <name val="Arial"/>
      <family val="0"/>
      <charset val="1"/>
    </font>
    <font>
      <i val="true"/>
      <sz val="9"/>
      <color rgb="FF64748B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F1729"/>
        <bgColor rgb="FF1A2440"/>
      </patternFill>
    </fill>
    <fill>
      <patternFill patternType="solid">
        <fgColor rgb="FF1A2440"/>
        <bgColor rgb="FF0F1729"/>
      </patternFill>
    </fill>
    <fill>
      <patternFill patternType="solid">
        <fgColor rgb="FFC9A84C"/>
        <bgColor rgb="FFFF99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4748B"/>
      <rgbColor rgb="FFC9A84C"/>
      <rgbColor rgb="FF003366"/>
      <rgbColor rgb="FF339966"/>
      <rgbColor rgb="FF0F1729"/>
      <rgbColor rgb="FF333300"/>
      <rgbColor rgb="FF993300"/>
      <rgbColor rgb="FF993366"/>
      <rgbColor rgb="FF333399"/>
      <rgbColor rgb="FF1A24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A84C"/>
    <pageSetUpPr fitToPage="false"/>
  </sheetPr>
  <dimension ref="A1:L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12"/>
    <col collapsed="false" customWidth="true" hidden="false" outlineLevel="0" max="3" min="3" style="1" width="8"/>
    <col collapsed="false" customWidth="true" hidden="false" outlineLevel="0" max="4" min="4" style="1" width="10"/>
    <col collapsed="false" customWidth="true" hidden="false" outlineLevel="0" max="7" min="5" style="1" width="16"/>
    <col collapsed="false" customWidth="true" hidden="false" outlineLevel="0" max="8" min="8" style="1" width="22"/>
    <col collapsed="false" customWidth="true" hidden="false" outlineLevel="0" max="9" min="9" style="1" width="20"/>
    <col collapsed="false" customWidth="true" hidden="false" outlineLevel="0" max="11" min="10" style="1" width="18"/>
    <col collapsed="false" customWidth="true" hidden="false" outlineLevel="0" max="12" min="12" style="1" width="13"/>
  </cols>
  <sheetData>
    <row r="1" customFormat="false" ht="15" hidden="false" customHeight="false" outlineLevel="0" collapsed="false">
      <c r="A1" s="2" t="s">
        <v>0</v>
      </c>
    </row>
    <row r="2" customFormat="false" ht="24" hidden="false" customHeight="true" outlineLevel="0" collapsed="false">
      <c r="A2" s="3" t="s">
        <v>1</v>
      </c>
    </row>
    <row r="3" customFormat="false" ht="15.75" hidden="false" customHeight="true" outlineLevel="0" collapsed="false">
      <c r="A3" s="4" t="s">
        <v>2</v>
      </c>
    </row>
    <row r="5" customFormat="false" ht="19.5" hidden="false" customHeight="true" outlineLevel="0" collapsed="false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</row>
    <row r="6" customFormat="false" ht="15" hidden="false" customHeight="false" outlineLevel="0" collapsed="false">
      <c r="A6" s="6" t="n">
        <v>46054</v>
      </c>
      <c r="B6" s="7" t="s">
        <v>15</v>
      </c>
      <c r="C6" s="7" t="n">
        <v>32</v>
      </c>
      <c r="D6" s="7" t="s">
        <v>16</v>
      </c>
      <c r="E6" s="7" t="s">
        <v>17</v>
      </c>
      <c r="F6" s="7" t="s">
        <v>18</v>
      </c>
      <c r="G6" s="7" t="s">
        <v>19</v>
      </c>
      <c r="H6" s="8" t="n">
        <v>1800</v>
      </c>
      <c r="I6" s="8" t="n">
        <v>1200</v>
      </c>
      <c r="J6" s="6" t="n">
        <v>46127</v>
      </c>
      <c r="K6" s="6" t="n">
        <v>46162</v>
      </c>
      <c r="L6" s="7" t="s">
        <v>20</v>
      </c>
    </row>
    <row r="7" customFormat="false" ht="15" hidden="false" customHeight="false" outlineLevel="0" collapsed="false">
      <c r="A7" s="6" t="n">
        <v>46058</v>
      </c>
      <c r="B7" s="7" t="s">
        <v>21</v>
      </c>
      <c r="C7" s="7" t="n">
        <v>28</v>
      </c>
      <c r="D7" s="7" t="s">
        <v>22</v>
      </c>
      <c r="E7" s="7" t="s">
        <v>23</v>
      </c>
      <c r="F7" s="7" t="s">
        <v>24</v>
      </c>
      <c r="G7" s="7" t="s">
        <v>25</v>
      </c>
      <c r="H7" s="8" t="n">
        <v>950</v>
      </c>
      <c r="I7" s="8" t="n">
        <v>0</v>
      </c>
      <c r="J7" s="6" t="n">
        <v>46120</v>
      </c>
      <c r="K7" s="9"/>
      <c r="L7" s="7" t="s">
        <v>26</v>
      </c>
    </row>
    <row r="8" customFormat="false" ht="15" hidden="false" customHeight="false" outlineLevel="0" collapsed="false">
      <c r="A8" s="6" t="n">
        <v>46065</v>
      </c>
      <c r="B8" s="7" t="s">
        <v>27</v>
      </c>
      <c r="C8" s="7" t="n">
        <v>45</v>
      </c>
      <c r="D8" s="7" t="s">
        <v>16</v>
      </c>
      <c r="E8" s="7" t="s">
        <v>28</v>
      </c>
      <c r="F8" s="7" t="s">
        <v>29</v>
      </c>
      <c r="G8" s="7" t="s">
        <v>30</v>
      </c>
      <c r="H8" s="8" t="n">
        <v>2500</v>
      </c>
      <c r="I8" s="8" t="n">
        <v>2500</v>
      </c>
      <c r="J8" s="6" t="n">
        <v>46134</v>
      </c>
      <c r="K8" s="6" t="n">
        <v>46183</v>
      </c>
      <c r="L8" s="7" t="s">
        <v>31</v>
      </c>
    </row>
    <row r="9" customFormat="false" ht="15" hidden="false" customHeight="false" outlineLevel="0" collapsed="false">
      <c r="A9" s="6" t="n">
        <v>46071</v>
      </c>
      <c r="B9" s="7" t="s">
        <v>32</v>
      </c>
      <c r="C9" s="7" t="n">
        <v>35</v>
      </c>
      <c r="D9" s="7" t="s">
        <v>22</v>
      </c>
      <c r="E9" s="7" t="s">
        <v>33</v>
      </c>
      <c r="F9" s="7" t="s">
        <v>18</v>
      </c>
      <c r="G9" s="7" t="s">
        <v>19</v>
      </c>
      <c r="H9" s="8" t="n">
        <v>1400</v>
      </c>
      <c r="I9" s="8" t="n">
        <v>1400</v>
      </c>
      <c r="J9" s="6" t="n">
        <v>46113</v>
      </c>
      <c r="K9" s="6" t="n">
        <v>46157</v>
      </c>
      <c r="L9" s="7" t="s">
        <v>31</v>
      </c>
    </row>
    <row r="10" customFormat="false" ht="15" hidden="false" customHeight="false" outlineLevel="0" collapsed="false">
      <c r="A10" s="6" t="n">
        <v>46082</v>
      </c>
      <c r="B10" s="7" t="s">
        <v>34</v>
      </c>
      <c r="C10" s="7" t="n">
        <v>52</v>
      </c>
      <c r="D10" s="7" t="s">
        <v>16</v>
      </c>
      <c r="E10" s="7" t="s">
        <v>35</v>
      </c>
      <c r="F10" s="7" t="s">
        <v>18</v>
      </c>
      <c r="G10" s="7" t="s">
        <v>25</v>
      </c>
      <c r="H10" s="8" t="n">
        <v>3200</v>
      </c>
      <c r="I10" s="8" t="n">
        <v>0</v>
      </c>
      <c r="J10" s="6" t="n">
        <v>46143</v>
      </c>
      <c r="K10" s="9"/>
      <c r="L10" s="7" t="s">
        <v>20</v>
      </c>
    </row>
    <row r="11" customFormat="false" ht="15" hidden="false" customHeight="false" outlineLevel="0" collapsed="false">
      <c r="A11" s="6" t="n">
        <v>46089</v>
      </c>
      <c r="B11" s="7" t="s">
        <v>36</v>
      </c>
      <c r="C11" s="7" t="n">
        <v>29</v>
      </c>
      <c r="D11" s="7" t="s">
        <v>22</v>
      </c>
      <c r="E11" s="7" t="s">
        <v>37</v>
      </c>
      <c r="F11" s="7" t="s">
        <v>24</v>
      </c>
      <c r="G11" s="7" t="s">
        <v>30</v>
      </c>
      <c r="H11" s="8" t="n">
        <v>1100</v>
      </c>
      <c r="I11" s="8" t="n">
        <v>550</v>
      </c>
      <c r="J11" s="6" t="n">
        <v>46141</v>
      </c>
      <c r="K11" s="6" t="n">
        <v>46178</v>
      </c>
      <c r="L11" s="7" t="s">
        <v>20</v>
      </c>
    </row>
  </sheetData>
  <dataValidations count="3">
    <dataValidation allowBlank="true" error="Please select a valid referral source" errorStyle="stop" errorTitle="Invalid Entry" operator="between" showDropDown="false" showErrorMessage="false" showInputMessage="false" sqref="E6:E505" type="list">
      <formula1>"Google,Insurance,Patient Referral,Online,Walk-In,Yelp,Other"</formula1>
      <formula2>0</formula2>
    </dataValidation>
    <dataValidation allowBlank="true" error="Please select a valid insurance type" errorStyle="stop" errorTitle="Invalid Entry" operator="between" showDropDown="false" showErrorMessage="false" showInputMessage="false" sqref="F6:F505" type="list">
      <formula1>"PPO,FFS,Membership Plan,None"</formula1>
      <formula2>0</formula2>
    </dataValidation>
    <dataValidation allowBlank="true" error="Please select a valid status" errorStyle="stop" errorTitle="Invalid Entry" operator="between" showDropDown="false" showErrorMessage="false" showInputMessage="false" sqref="L6:L505" type="list">
      <formula1>"Active,Completed,Unscheduled,Lost"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A84C"/>
    <pageSetUpPr fitToPage="false"/>
  </sheetPr>
  <dimension ref="A1:G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8"/>
    <col collapsed="false" customWidth="true" hidden="false" outlineLevel="0" max="4" min="2" style="1" width="14"/>
    <col collapsed="false" customWidth="true" hidden="false" outlineLevel="0" max="6" min="5" style="1" width="16"/>
    <col collapsed="false" customWidth="true" hidden="false" outlineLevel="0" max="7" min="7" style="1" width="14"/>
  </cols>
  <sheetData>
    <row r="1" customFormat="false" ht="15" hidden="false" customHeight="false" outlineLevel="0" collapsed="false">
      <c r="A1" s="2" t="s">
        <v>0</v>
      </c>
    </row>
    <row r="2" customFormat="false" ht="24" hidden="false" customHeight="true" outlineLevel="0" collapsed="false">
      <c r="A2" s="3" t="s">
        <v>1</v>
      </c>
    </row>
    <row r="4" customFormat="false" ht="15" hidden="false" customHeight="false" outlineLevel="0" collapsed="false">
      <c r="A4" s="10" t="s">
        <v>38</v>
      </c>
    </row>
    <row r="5" customFormat="false" ht="15" hidden="false" customHeight="false" outlineLevel="0" collapsed="false">
      <c r="A5" s="11" t="s">
        <v>39</v>
      </c>
      <c r="B5" s="12" t="n">
        <f aca="false">COUNTA('New Patient Log'!B6:B505)</f>
        <v>6</v>
      </c>
    </row>
    <row r="6" customFormat="false" ht="15" hidden="false" customHeight="false" outlineLevel="0" collapsed="false">
      <c r="A6" s="11" t="s">
        <v>40</v>
      </c>
      <c r="B6" s="13" t="n">
        <f aca="false">IFERROR(AVERAGE('New Patient Log'!H6:H505),0)</f>
        <v>1825</v>
      </c>
    </row>
    <row r="7" customFormat="false" ht="15" hidden="false" customHeight="false" outlineLevel="0" collapsed="false">
      <c r="A7" s="11" t="s">
        <v>41</v>
      </c>
      <c r="B7" s="14" t="n">
        <f aca="false">IFERROR(SUMIF('New Patient Log'!I6:I505,"&gt;0")/COUNTA('New Patient Log'!B6:B505),0)</f>
        <v>941.666666666667</v>
      </c>
    </row>
    <row r="8" customFormat="false" ht="15" hidden="false" customHeight="false" outlineLevel="0" collapsed="false">
      <c r="A8" s="11" t="s">
        <v>42</v>
      </c>
      <c r="B8" s="12" t="n">
        <f aca="false">IFERROR(COUNTIF('New Patient Log'!L6:L505,"Completed")/COUNTA('New Patient Log'!B6:B505),0)</f>
        <v>0.333333333333333</v>
      </c>
    </row>
    <row r="11" customFormat="false" ht="15" hidden="false" customHeight="false" outlineLevel="0" collapsed="false">
      <c r="A11" s="10" t="s">
        <v>43</v>
      </c>
    </row>
    <row r="12" customFormat="false" ht="19.5" hidden="false" customHeight="true" outlineLevel="0" collapsed="false">
      <c r="A12" s="5" t="s">
        <v>44</v>
      </c>
      <c r="B12" s="5" t="s">
        <v>45</v>
      </c>
      <c r="C12" s="5" t="s">
        <v>46</v>
      </c>
      <c r="D12" s="5" t="s">
        <v>47</v>
      </c>
      <c r="E12" s="5" t="s">
        <v>48</v>
      </c>
      <c r="F12" s="5" t="s">
        <v>49</v>
      </c>
      <c r="G12" s="5" t="s">
        <v>50</v>
      </c>
    </row>
    <row r="13" customFormat="false" ht="15" hidden="false" customHeight="false" outlineLevel="0" collapsed="false">
      <c r="A13" s="7" t="s">
        <v>17</v>
      </c>
      <c r="B13" s="15" t="n">
        <f aca="false">COUNTIF('New Patient Log'!E6:E505,"Google")</f>
        <v>1</v>
      </c>
      <c r="C13" s="8" t="n">
        <f aca="false">SUMIF('New Patient Log'!E6:E505,"Google",'New Patient Log'!H6:H505)</f>
        <v>1800</v>
      </c>
      <c r="D13" s="8" t="n">
        <f aca="false">SUMIF('New Patient Log'!E6:E505,"Google",'New Patient Log'!I6:I505)</f>
        <v>1200</v>
      </c>
      <c r="E13" s="16" t="n">
        <f aca="false">IFERROR(D13/C13,0)</f>
        <v>0.666666666666667</v>
      </c>
      <c r="F13" s="15" t="n">
        <f aca="false">SUMPRODUCT(('New Patient Log'!E6:E505="Google")*('New Patient Log'!J6:J505&lt;&gt;""))</f>
        <v>1</v>
      </c>
      <c r="G13" s="16" t="n">
        <f aca="false">IFERROR(SUMPRODUCT(('New Patient Log'!E6:E505="Google")*('New Patient Log'!L6:L505="Completed"))/B13,0)</f>
        <v>0</v>
      </c>
    </row>
    <row r="14" customFormat="false" ht="15" hidden="false" customHeight="false" outlineLevel="0" collapsed="false">
      <c r="A14" s="7" t="s">
        <v>28</v>
      </c>
      <c r="B14" s="15" t="n">
        <f aca="false">COUNTIF('New Patient Log'!E6:E505,"Insurance")</f>
        <v>1</v>
      </c>
      <c r="C14" s="8" t="n">
        <f aca="false">SUMIF('New Patient Log'!E6:E505,"Insurance",'New Patient Log'!H6:H505)</f>
        <v>2500</v>
      </c>
      <c r="D14" s="8" t="n">
        <f aca="false">SUMIF('New Patient Log'!E6:E505,"Insurance",'New Patient Log'!I6:I505)</f>
        <v>2500</v>
      </c>
      <c r="E14" s="16" t="n">
        <f aca="false">IFERROR(D14/C14,0)</f>
        <v>1</v>
      </c>
      <c r="F14" s="15" t="n">
        <f aca="false">SUMPRODUCT(('New Patient Log'!E6:E505="Insurance")*('New Patient Log'!J6:J505&lt;&gt;""))</f>
        <v>1</v>
      </c>
      <c r="G14" s="16" t="n">
        <f aca="false">IFERROR(SUMPRODUCT(('New Patient Log'!E6:E505="Insurance")*('New Patient Log'!L6:L505="Completed"))/B14,0)</f>
        <v>1</v>
      </c>
    </row>
    <row r="15" customFormat="false" ht="15" hidden="false" customHeight="false" outlineLevel="0" collapsed="false">
      <c r="A15" s="7" t="s">
        <v>23</v>
      </c>
      <c r="B15" s="15" t="n">
        <f aca="false">COUNTIF('New Patient Log'!E6:E505,"Patient Referral")</f>
        <v>1</v>
      </c>
      <c r="C15" s="8" t="n">
        <f aca="false">SUMIF('New Patient Log'!E6:E505,"Patient Referral",'New Patient Log'!H6:H505)</f>
        <v>950</v>
      </c>
      <c r="D15" s="8" t="n">
        <f aca="false">SUMIF('New Patient Log'!E6:E505,"Patient Referral",'New Patient Log'!I6:I505)</f>
        <v>0</v>
      </c>
      <c r="E15" s="16" t="n">
        <f aca="false">IFERROR(D15/C15,0)</f>
        <v>0</v>
      </c>
      <c r="F15" s="15" t="n">
        <f aca="false">SUMPRODUCT(('New Patient Log'!E6:E505="Patient Referral")*('New Patient Log'!J6:J505&lt;&gt;""))</f>
        <v>1</v>
      </c>
      <c r="G15" s="16" t="n">
        <f aca="false">IFERROR(SUMPRODUCT(('New Patient Log'!E6:E505="Patient Referral")*('New Patient Log'!L6:L505="Completed"))/B15,0)</f>
        <v>0</v>
      </c>
    </row>
    <row r="16" customFormat="false" ht="15" hidden="false" customHeight="false" outlineLevel="0" collapsed="false">
      <c r="A16" s="7" t="s">
        <v>37</v>
      </c>
      <c r="B16" s="15" t="n">
        <f aca="false">COUNTIF('New Patient Log'!E6:E505,"Online")</f>
        <v>1</v>
      </c>
      <c r="C16" s="8" t="n">
        <f aca="false">SUMIF('New Patient Log'!E6:E505,"Online",'New Patient Log'!H6:H505)</f>
        <v>1100</v>
      </c>
      <c r="D16" s="8" t="n">
        <f aca="false">SUMIF('New Patient Log'!E6:E505,"Online",'New Patient Log'!I6:I505)</f>
        <v>550</v>
      </c>
      <c r="E16" s="16" t="n">
        <f aca="false">IFERROR(D16/C16,0)</f>
        <v>0.5</v>
      </c>
      <c r="F16" s="15" t="n">
        <f aca="false">SUMPRODUCT(('New Patient Log'!E6:E505="Online")*('New Patient Log'!J6:J505&lt;&gt;""))</f>
        <v>1</v>
      </c>
      <c r="G16" s="16" t="n">
        <f aca="false">IFERROR(SUMPRODUCT(('New Patient Log'!E6:E505="Online")*('New Patient Log'!L6:L505="Completed"))/B16,0)</f>
        <v>0</v>
      </c>
    </row>
    <row r="17" customFormat="false" ht="15" hidden="false" customHeight="false" outlineLevel="0" collapsed="false">
      <c r="A17" s="7" t="s">
        <v>33</v>
      </c>
      <c r="B17" s="15" t="n">
        <f aca="false">COUNTIF('New Patient Log'!E6:E505,"Walk-In")</f>
        <v>1</v>
      </c>
      <c r="C17" s="8" t="n">
        <f aca="false">SUMIF('New Patient Log'!E6:E505,"Walk-In",'New Patient Log'!H6:H505)</f>
        <v>1400</v>
      </c>
      <c r="D17" s="8" t="n">
        <f aca="false">SUMIF('New Patient Log'!E6:E505,"Walk-In",'New Patient Log'!I6:I505)</f>
        <v>1400</v>
      </c>
      <c r="E17" s="16" t="n">
        <f aca="false">IFERROR(D17/C17,0)</f>
        <v>1</v>
      </c>
      <c r="F17" s="15" t="n">
        <f aca="false">SUMPRODUCT(('New Patient Log'!E6:E505="Walk-In")*('New Patient Log'!J6:J505&lt;&gt;""))</f>
        <v>1</v>
      </c>
      <c r="G17" s="16" t="n">
        <f aca="false">IFERROR(SUMPRODUCT(('New Patient Log'!E6:E505="Walk-In")*('New Patient Log'!L6:L505="Completed"))/B17,0)</f>
        <v>1</v>
      </c>
    </row>
    <row r="18" customFormat="false" ht="15" hidden="false" customHeight="false" outlineLevel="0" collapsed="false">
      <c r="A18" s="7" t="s">
        <v>35</v>
      </c>
      <c r="B18" s="15" t="n">
        <f aca="false">COUNTIF('New Patient Log'!E6:E505,"Yelp")</f>
        <v>1</v>
      </c>
      <c r="C18" s="8" t="n">
        <f aca="false">SUMIF('New Patient Log'!E6:E505,"Yelp",'New Patient Log'!H6:H505)</f>
        <v>3200</v>
      </c>
      <c r="D18" s="8" t="n">
        <f aca="false">SUMIF('New Patient Log'!E6:E505,"Yelp",'New Patient Log'!I6:I505)</f>
        <v>0</v>
      </c>
      <c r="E18" s="16" t="n">
        <f aca="false">IFERROR(D18/C18,0)</f>
        <v>0</v>
      </c>
      <c r="F18" s="15" t="n">
        <f aca="false">SUMPRODUCT(('New Patient Log'!E6:E505="Yelp")*('New Patient Log'!J6:J505&lt;&gt;""))</f>
        <v>1</v>
      </c>
      <c r="G18" s="16" t="n">
        <f aca="false">IFERROR(SUMPRODUCT(('New Patient Log'!E6:E505="Yelp")*('New Patient Log'!L6:L505="Completed"))/B18,0)</f>
        <v>0</v>
      </c>
    </row>
    <row r="19" customFormat="false" ht="15" hidden="false" customHeight="false" outlineLevel="0" collapsed="false">
      <c r="A19" s="7" t="s">
        <v>51</v>
      </c>
      <c r="B19" s="15" t="n">
        <f aca="false">COUNTIF('New Patient Log'!E6:E505,"Other")</f>
        <v>0</v>
      </c>
      <c r="C19" s="8" t="n">
        <f aca="false">SUMIF('New Patient Log'!E6:E505,"Other",'New Patient Log'!H6:H505)</f>
        <v>0</v>
      </c>
      <c r="D19" s="8" t="n">
        <f aca="false">SUMIF('New Patient Log'!E6:E505,"Other",'New Patient Log'!I6:I505)</f>
        <v>0</v>
      </c>
      <c r="E19" s="16" t="n">
        <f aca="false">IFERROR(D19/C19,0)</f>
        <v>0</v>
      </c>
      <c r="F19" s="15" t="n">
        <f aca="false">SUMPRODUCT(('New Patient Log'!E6:E505="Other")*('New Patient Log'!J6:J505&lt;&gt;""))</f>
        <v>0</v>
      </c>
      <c r="G19" s="16" t="n">
        <f aca="false">IFERROR(SUMPRODUCT(('New Patient Log'!E6:E505="Other")*('New Patient Log'!L6:L505="Completed"))/B19,0)</f>
        <v>0</v>
      </c>
    </row>
    <row r="20" customFormat="false" ht="15" hidden="false" customHeight="false" outlineLevel="0" collapsed="false">
      <c r="A20" s="17" t="s">
        <v>52</v>
      </c>
      <c r="B20" s="18" t="n">
        <f aca="false">SUM(B13:B19)</f>
        <v>6</v>
      </c>
      <c r="C20" s="19" t="n">
        <f aca="false">SUM(C13:C19)</f>
        <v>10950</v>
      </c>
      <c r="D20" s="19" t="n">
        <f aca="false">SUM(D13:D19)</f>
        <v>5650</v>
      </c>
      <c r="E20" s="20" t="n">
        <f aca="false">IFERROR(D20/C20,0)</f>
        <v>0.515981735159817</v>
      </c>
      <c r="F20" s="18" t="n">
        <f aca="false">SUM(F13:F19)</f>
        <v>6</v>
      </c>
      <c r="G20" s="20" t="n">
        <f aca="false">IFERROR(SUMPRODUCT(('New Patient Log'!L6:L505="Completed"))/B20,0)</f>
        <v>0.333333333333333</v>
      </c>
    </row>
    <row r="23" customFormat="false" ht="15" hidden="false" customHeight="false" outlineLevel="0" collapsed="false">
      <c r="A23" s="10" t="s">
        <v>53</v>
      </c>
    </row>
    <row r="24" customFormat="false" ht="15" hidden="false" customHeight="false" outlineLevel="0" collapsed="false">
      <c r="A24" s="7" t="s">
        <v>18</v>
      </c>
      <c r="B24" s="15" t="n">
        <f aca="false">COUNTIF('New Patient Log'!F6:F505,"PPO")</f>
        <v>3</v>
      </c>
      <c r="C24" s="16" t="n">
        <f aca="false">IFERROR(B24/$B$28,0)</f>
        <v>0.5</v>
      </c>
    </row>
    <row r="25" customFormat="false" ht="15" hidden="false" customHeight="false" outlineLevel="0" collapsed="false">
      <c r="A25" s="7" t="s">
        <v>24</v>
      </c>
      <c r="B25" s="15" t="n">
        <f aca="false">COUNTIF('New Patient Log'!F6:F505,"FFS")</f>
        <v>2</v>
      </c>
      <c r="C25" s="16" t="n">
        <f aca="false">IFERROR(B25/$B$28,0)</f>
        <v>0.333333333333333</v>
      </c>
    </row>
    <row r="26" customFormat="false" ht="15" hidden="false" customHeight="false" outlineLevel="0" collapsed="false">
      <c r="A26" s="7" t="s">
        <v>29</v>
      </c>
      <c r="B26" s="15" t="n">
        <f aca="false">COUNTIF('New Patient Log'!F6:F505,"Membership Plan")</f>
        <v>1</v>
      </c>
      <c r="C26" s="16" t="n">
        <f aca="false">IFERROR(B26/$B$28,0)</f>
        <v>0.166666666666667</v>
      </c>
    </row>
    <row r="27" customFormat="false" ht="15" hidden="false" customHeight="false" outlineLevel="0" collapsed="false">
      <c r="A27" s="7" t="s">
        <v>54</v>
      </c>
      <c r="B27" s="15" t="n">
        <f aca="false">COUNTIF('New Patient Log'!F6:F505,"None")</f>
        <v>0</v>
      </c>
      <c r="C27" s="16" t="n">
        <f aca="false">IFERROR(B27/$B$28,0)</f>
        <v>0</v>
      </c>
    </row>
    <row r="28" customFormat="false" ht="15" hidden="false" customHeight="false" outlineLevel="0" collapsed="false">
      <c r="A28" s="17" t="s">
        <v>52</v>
      </c>
      <c r="B28" s="18" t="n">
        <f aca="false">SUM(B24:B27)</f>
        <v>6</v>
      </c>
      <c r="C28" s="20" t="n">
        <f aca="false">IFERROR(B28/B28,0)</f>
        <v>1</v>
      </c>
    </row>
    <row r="31" customFormat="false" ht="24" hidden="false" customHeight="true" outlineLevel="0" collapsed="false">
      <c r="A31" s="21" t="s">
        <v>55</v>
      </c>
      <c r="B31" s="21"/>
      <c r="C31" s="21"/>
      <c r="D31" s="21"/>
      <c r="E31" s="21"/>
      <c r="F31" s="21"/>
      <c r="G31" s="21"/>
    </row>
    <row r="33" customFormat="false" ht="15" hidden="false" customHeight="false" outlineLevel="0" collapsed="false">
      <c r="A33" s="22" t="s">
        <v>56</v>
      </c>
      <c r="B33" s="22"/>
      <c r="C33" s="22"/>
      <c r="D33" s="22"/>
      <c r="E33" s="22"/>
      <c r="F33" s="22"/>
      <c r="G33" s="22"/>
    </row>
  </sheetData>
  <mergeCells count="2">
    <mergeCell ref="A31:G31"/>
    <mergeCell ref="A33:G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2026-03-19T23:07:39Z</dcterms:created>
  <dc:creator>openpyxl</dc:creator>
  <dc:description/>
  <dc:language>en-US</dc:language>
  <cp:lastModifiedBy/>
  <dcterms:modified xsi:type="dcterms:W3CDTF">2026-03-19T23:07:39Z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